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1" r:id="rId1"/>
    <sheet name="表二、表三" sheetId="2" r:id="rId2"/>
    <sheet name="表四" sheetId="3" r:id="rId3"/>
  </sheets>
  <externalReferences>
    <externalReference r:id="rId4"/>
  </externalReferences>
  <definedNames>
    <definedName name="_xlnm.Print_Area" localSheetId="1">表二、表三!$A$1:$E$32</definedName>
  </definedNames>
  <calcPr calcId="144525"/>
</workbook>
</file>

<file path=xl/sharedStrings.xml><?xml version="1.0" encoding="utf-8"?>
<sst xmlns="http://schemas.openxmlformats.org/spreadsheetml/2006/main" count="138" uniqueCount="102">
  <si>
    <t xml:space="preserve">  宁波市某办公楼建筑安装工程造价分析表</t>
  </si>
  <si>
    <t xml:space="preserve">    本工程造价分析表由万邦工程管理咨询有限公司提供工程预算资料，仅供参考。   </t>
  </si>
  <si>
    <t>表一：工程概况</t>
  </si>
  <si>
    <t>工程名称</t>
  </si>
  <si>
    <t>某办公楼</t>
  </si>
  <si>
    <t>建设地点</t>
  </si>
  <si>
    <t>宁波市</t>
  </si>
  <si>
    <t>造价类别</t>
  </si>
  <si>
    <t>招标控制价</t>
  </si>
  <si>
    <t>总建筑面积</t>
  </si>
  <si>
    <r>
      <rPr>
        <sz val="9"/>
        <color theme="1"/>
        <rFont val="宋体"/>
        <charset val="134"/>
        <scheme val="minor"/>
      </rPr>
      <t>23692.88 m</t>
    </r>
    <r>
      <rPr>
        <vertAlign val="superscript"/>
        <sz val="9"/>
        <color theme="1"/>
        <rFont val="宋体"/>
        <charset val="134"/>
        <scheme val="minor"/>
      </rPr>
      <t>2</t>
    </r>
  </si>
  <si>
    <t>其中地下室建筑面积</t>
  </si>
  <si>
    <r>
      <rPr>
        <sz val="9"/>
        <color theme="1"/>
        <rFont val="宋体"/>
        <charset val="134"/>
        <scheme val="minor"/>
      </rPr>
      <t>3462.69  m</t>
    </r>
    <r>
      <rPr>
        <vertAlign val="superscript"/>
        <sz val="9"/>
        <color theme="1"/>
        <rFont val="宋体"/>
        <charset val="134"/>
        <scheme val="minor"/>
      </rPr>
      <t>2</t>
    </r>
  </si>
  <si>
    <t>编制日期</t>
  </si>
  <si>
    <t>结构类型</t>
  </si>
  <si>
    <t>框架剪力墙结构</t>
  </si>
  <si>
    <t>层数</t>
  </si>
  <si>
    <t>14层</t>
  </si>
  <si>
    <t>房屋高度</t>
  </si>
  <si>
    <t>60.78m</t>
  </si>
  <si>
    <t>工程主要特征</t>
  </si>
  <si>
    <t>建筑工程</t>
  </si>
  <si>
    <r>
      <rPr>
        <sz val="9"/>
        <color theme="1"/>
        <rFont val="宋体"/>
        <charset val="134"/>
        <scheme val="minor"/>
      </rPr>
      <t>建筑物功能：办公楼
结构特征：
    桩基：Ф600、Ф700钻孔灌注桩；
    基础：150厚C20素混凝土垫层，C35钢筋混凝土基础；
    砖墙：±0.000以下采用MU10混凝土多孔砖、M7.5砂浆砌筑；
          ±0.000以上外墙采用B07 A5.0蒸压加气混凝土砌块，专用粘结剂；
          卫生间、厨房采用MU10烧结多孔砖、DM-M5水泥砂浆砌筑；内墙填充墙采用AAC墙板；
    柱梁板：C30-C60钢筋混凝土柱、C30-C35钢筋混凝土梁板；采用盘扣式脚手架；
    屋面：1、普通屋面：现浇钢筋混凝土屋面板，最薄处30厚LC5.0轻集料砼2%找坡，15-20厚DS M20水泥砂浆找平
          层，1.5厚单组份聚氨酯防水涂膜，1.5厚无胎自粘聚合物改性沥青防水卷材，165厚B1级挤塑聚苯板
          保温层，50厚C25细石混凝土保护层，随捣随抹，内配Ф6@150双向，每开间设分仓缝，缝宽20mm纵横
          间距≤6m，缝内填高分子防水密封膏；10厚防滑地砖，20厚DS20砂浆结合层；
          2、种植土屋面：现浇钢筋混凝土屋面板，最薄处30厚LC5.0轻集料砼2%找坡，15-20厚DS M20水泥砂浆找
          平层，1.5厚单组份聚氨酯防水涂膜，1.5厚无胎自粘聚合物改性沥青防水卷材，165厚B1级挤塑聚苯
          板保温层，50厚C25细石混凝土保护层，随捣随抹，内配Ф6@150双向，每开间设分仓缝，缝宽20mm纵
          横间距≤6m，缝内填高分子防水密封膏；4.0厚聚酯胎弹性体改性沥青耐根穿刺防水卷材（含化学阻
          根剂；聚酯无纺布（≥200g/m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）隔离层；40厚C20细石混凝土保护层；300厚营养土过滤层、排水
          层；
    墙面保温：35厚无机轻集料保温砂浆层</t>
    </r>
    <r>
      <rPr>
        <sz val="9"/>
        <color theme="1"/>
        <rFont val="宋体"/>
        <charset val="134"/>
      </rPr>
      <t>Ⅰ型；底层架空楼板</t>
    </r>
    <r>
      <rPr>
        <sz val="9"/>
        <color theme="1"/>
        <rFont val="宋体"/>
        <charset val="134"/>
        <scheme val="minor"/>
      </rPr>
      <t>200厚岩棉板，胶粘+锚栓固定（锚栓不少于8个
          /m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）；
装饰标准：
    楼地面：1、精装修楼地面：防滑地砖面层，30厚DS M20预拌砂浆结合层，刷水泥浆一道（内掺建筑胶），
            最薄处30厚C20细石混凝土找平，LC7.5轻集料混凝土垫层；
            2、防滑地砖楼面：10厚防滑地砖，干水泥擦缝，20厚DS20预拌砂浆结合层，表面撒水泥粉，C20细
            石混凝土找坡层，坡度为1%（最薄处30厚，坡向地漏），表面随打随抹光，1.5厚水泥基聚合物防
            水涂料，四周卷起250高；
            3、细石混凝土楼地面：面层用户自理，30厚C20细石混凝土，DS20预拌砂浆压实抹光，刷水泥浆一
            道（内掺建筑胶）；
    墙柱面：1、涂料墙面：无机涂料面层，2厚面层专用粉刷石膏罩面，10厚粉刷石膏砂浆打底分遍抹平（中间
            满铺耐碱网格布一道），墙面不同材料交界处满粘热镀锌焊接钢丝网，专用界面剂一道甩毛；
            2、石材墙面：干挂石材内墙饰面层，5厚DP M20预拌砂浆找平，9厚DP M15预拌砂浆打底扫毛或划
            出纹道，基层混凝土强刷素水泥浆一道；
            3、面砖墙面：4-7厚面砖，填缝剂擦缝，4厚专用粘结剂，1.5厚Ⅱ型聚合物水泥防水涂料，5厚DP
            M15水泥砂浆找平，9厚DP M15水泥砂浆粉刷，墙面不统材料交接处满粘钢丝网，专用界面剂一道甩
            毛；
    天棚：1、石膏板顶棚：轻钢龙骨石膏板吊顶；
          2、涂料顶棚：2mm厚聚合物水泥腻子补缝、初平，3mm厚内墙腻子压光，内墙涂料；
          3、防霉涂料顶棚：2mm厚涂刷型聚合物水泥防水砂浆防潮层，3mm厚防霉腻子批平，防霉涂料2遍；
    门窗：70系列铝合金门窗（5+12A+5+12A+5LOW-E玻璃），成品实木复合门，木制防火门。</t>
    </r>
  </si>
  <si>
    <t>安装工程</t>
  </si>
  <si>
    <t>给排水：给水采用钢塑复合管、PP-R管，排水采用HDPE管、 UPVC管，雨水采用承压HRS管；
电气：电线采用铜芯塑料线，电缆采用铜芯电缆线、电线管采用镀锌钢管、PC塑料管，开关、插座、照明灯具及应急灯具安装；
暖通：通风风机、过滤器、卫生间通风器、空调器、镀锌铁皮风管、复合彩钢板风管、铝合金风口风阀消声器安装、通风空调系统调试；
消防：消防水管采用镀锌钢管、消火栓、喷淋头、阀门安装，消防电探测器、报警器、显示器安装；
智能化：视频监控系统、报警系统、机房系统、门禁系统、车辆管理系统、物业管网系统、综合管线系统安装。</t>
  </si>
  <si>
    <t>表二：工程造价指标</t>
  </si>
  <si>
    <t>项目</t>
  </si>
  <si>
    <t>造价（元）</t>
  </si>
  <si>
    <r>
      <rPr>
        <sz val="9"/>
        <color theme="1"/>
        <rFont val="宋体"/>
        <charset val="134"/>
        <scheme val="minor"/>
      </rPr>
      <t>每平米造价（元/m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）</t>
    </r>
  </si>
  <si>
    <t>占总造价比例（%）</t>
  </si>
  <si>
    <t>总造价</t>
  </si>
  <si>
    <t>其中</t>
  </si>
  <si>
    <t>结构</t>
  </si>
  <si>
    <t>幕墙</t>
  </si>
  <si>
    <t>装饰</t>
  </si>
  <si>
    <t>给排水</t>
  </si>
  <si>
    <t>电气</t>
  </si>
  <si>
    <t>暖通</t>
  </si>
  <si>
    <t>消防</t>
  </si>
  <si>
    <t>抗震支架</t>
  </si>
  <si>
    <t>智能系统</t>
  </si>
  <si>
    <t>说明：表中每平米造价=相应项目造价÷总建筑面积</t>
  </si>
  <si>
    <t>表三：人工和主要材料指标</t>
  </si>
  <si>
    <t>单位</t>
  </si>
  <si>
    <t>耗用量</t>
  </si>
  <si>
    <t>每平米耗用量</t>
  </si>
  <si>
    <t>1、建筑工程：</t>
  </si>
  <si>
    <t>人工</t>
  </si>
  <si>
    <t>工日</t>
  </si>
  <si>
    <t>钢筋</t>
  </si>
  <si>
    <t>kg</t>
  </si>
  <si>
    <t>其他钢材</t>
  </si>
  <si>
    <t>砂浆</t>
  </si>
  <si>
    <t>水泥</t>
  </si>
  <si>
    <t>商品混凝土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</si>
  <si>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9"/>
        <color theme="1"/>
        <rFont val="宋体"/>
        <charset val="134"/>
        <scheme val="minor"/>
      </rPr>
      <t>3</t>
    </r>
  </si>
  <si>
    <t>PC构件</t>
  </si>
  <si>
    <t>多孔砖</t>
  </si>
  <si>
    <t>加气混凝土砌块</t>
  </si>
  <si>
    <t>AAC板</t>
  </si>
  <si>
    <t>砂</t>
  </si>
  <si>
    <t>2、安装工程：</t>
  </si>
  <si>
    <t>工程桩基</t>
  </si>
  <si>
    <t>说明：表中每平米耗用量=相应项目耗用量÷总建筑面积</t>
  </si>
  <si>
    <t>表四：建筑工程造价构成比例及主要工程量指标</t>
  </si>
  <si>
    <t>造价构成比例</t>
  </si>
  <si>
    <t>主要工程量指标</t>
  </si>
  <si>
    <t>分部分项</t>
  </si>
  <si>
    <t>分部造价（元）</t>
  </si>
  <si>
    <t>占建筑造价比例（%）</t>
  </si>
  <si>
    <t>工程量</t>
  </si>
  <si>
    <t>每平米工程量</t>
  </si>
  <si>
    <t>桩基工程</t>
  </si>
  <si>
    <t>钻孔灌注桩</t>
  </si>
  <si>
    <t>土石方工程</t>
  </si>
  <si>
    <t>土（石）方</t>
  </si>
  <si>
    <t>砌筑工程</t>
  </si>
  <si>
    <t>砌块墙</t>
  </si>
  <si>
    <t>砼及钢筋砼工程</t>
  </si>
  <si>
    <t>砼柱墙梁板结构</t>
  </si>
  <si>
    <t>模板工程</t>
  </si>
  <si>
    <t>木模板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</si>
  <si>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9"/>
        <color theme="1"/>
        <rFont val="宋体"/>
        <charset val="134"/>
        <scheme val="minor"/>
      </rPr>
      <t>2</t>
    </r>
  </si>
  <si>
    <t>屋面工程</t>
  </si>
  <si>
    <t>屋面</t>
  </si>
  <si>
    <t>楼地面工程</t>
  </si>
  <si>
    <t>楼地面</t>
  </si>
  <si>
    <t>墙柱面工程</t>
  </si>
  <si>
    <t>外墙柱面</t>
  </si>
  <si>
    <t>内墙柱面</t>
  </si>
  <si>
    <t>天棚工程</t>
  </si>
  <si>
    <t>天棚涂料</t>
  </si>
  <si>
    <t>门窗工程</t>
  </si>
  <si>
    <t>门窗</t>
  </si>
  <si>
    <t>油漆涂料工程</t>
  </si>
  <si>
    <t>外墙涂料</t>
  </si>
  <si>
    <t>内墙涂料</t>
  </si>
  <si>
    <t>脚手架</t>
  </si>
  <si>
    <t>幕墙工程</t>
  </si>
  <si>
    <t>其他工程</t>
  </si>
  <si>
    <t>合计</t>
  </si>
  <si>
    <t xml:space="preserve">    说明：表中每平米工程量=相应工程量÷总建筑面积。   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</si>
</sst>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178" formatCode="0_ "/>
    <numFmt numFmtId="43" formatCode="_ * #,##0.00_ ;_ * \-#,##0.00_ ;_ * &quot;-&quot;??_ ;_ @_ "/>
    <numFmt numFmtId="179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9"/>
      <color theme="1"/>
      <name val="宋体"/>
      <charset val="134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18" borderId="1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25" borderId="16" applyNumberFormat="false" applyAlignment="false" applyProtection="false">
      <alignment vertical="center"/>
    </xf>
    <xf numFmtId="0" fontId="22" fillId="18" borderId="18" applyNumberFormat="false" applyAlignment="false" applyProtection="false">
      <alignment vertical="center"/>
    </xf>
    <xf numFmtId="0" fontId="15" fillId="15" borderId="15" applyNumberFormat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178" fontId="1" fillId="0" borderId="4" xfId="0" applyNumberFormat="true" applyFont="true" applyBorder="true" applyAlignment="true">
      <alignment horizontal="center" vertical="center"/>
    </xf>
    <xf numFmtId="177" fontId="1" fillId="0" borderId="4" xfId="0" applyNumberFormat="true" applyFont="true" applyBorder="true" applyAlignment="true">
      <alignment horizontal="center" vertical="center"/>
    </xf>
    <xf numFmtId="178" fontId="1" fillId="0" borderId="5" xfId="0" applyNumberFormat="true" applyFont="true" applyBorder="true" applyAlignment="true">
      <alignment horizontal="center" vertical="center"/>
    </xf>
    <xf numFmtId="177" fontId="1" fillId="0" borderId="5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3" fillId="0" borderId="0" xfId="0" applyFont="true">
      <alignment vertical="center"/>
    </xf>
    <xf numFmtId="0" fontId="2" fillId="0" borderId="6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top"/>
    </xf>
    <xf numFmtId="0" fontId="1" fillId="0" borderId="1" xfId="0" applyFont="true" applyBorder="true" applyAlignment="true">
      <alignment horizontal="left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176" fontId="1" fillId="0" borderId="1" xfId="11" applyNumberFormat="true" applyFont="true" applyBorder="true" applyAlignment="true">
      <alignment horizontal="center" vertical="center"/>
    </xf>
    <xf numFmtId="179" fontId="1" fillId="0" borderId="1" xfId="11" applyNumberFormat="true" applyFont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left" vertical="top" wrapText="true"/>
    </xf>
    <xf numFmtId="0" fontId="1" fillId="0" borderId="8" xfId="0" applyFont="true" applyBorder="true" applyAlignment="true">
      <alignment horizontal="left" vertical="top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left" vertical="top" wrapText="true"/>
    </xf>
    <xf numFmtId="0" fontId="1" fillId="0" borderId="6" xfId="0" applyFont="true" applyBorder="true" applyAlignment="true">
      <alignment horizontal="left" vertical="top" wrapText="true"/>
    </xf>
    <xf numFmtId="0" fontId="1" fillId="0" borderId="1" xfId="0" applyFont="true" applyBorder="true" applyAlignment="true">
      <alignment horizontal="left" vertical="center" wrapText="true"/>
    </xf>
    <xf numFmtId="57" fontId="1" fillId="0" borderId="1" xfId="0" applyNumberFormat="true" applyFont="true" applyBorder="true" applyAlignment="true">
      <alignment horizontal="center" vertical="center"/>
    </xf>
    <xf numFmtId="0" fontId="1" fillId="0" borderId="10" xfId="0" applyFont="true" applyBorder="true" applyAlignment="true">
      <alignment horizontal="left" vertical="top" wrapText="true"/>
    </xf>
    <xf numFmtId="0" fontId="1" fillId="0" borderId="11" xfId="0" applyFont="true" applyBorder="true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F&#30424;/&#36896;&#20215;&#36164;&#26009;/&#25351;&#26631;-&#20379;&#20449;&#24687;/&#22791;&#36873;/&#23425;&#27874;&#21069;&#28286;&#26032;&#21306;&#21335;&#27915;&#20247;&#21019;&#31354;&#38388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0.2.2-13 单位工程招标控制价费用表【桩基工程】"/>
      <sheetName val="表10.2.2-16 分部分项工程清单与计价表【桩基工程】"/>
      <sheetName val="表10.2.2-16 施工技术措施项目清单与计价表【桩基工"/>
      <sheetName val="表10.2.2-13 单位工程招标控制价费用表【地下室】"/>
      <sheetName val="表10.2.2-16 分部分项工程清单与计价表【地下室】"/>
      <sheetName val="表10.2.2-16 施工技术措施项目清单与计价表【地下室】"/>
      <sheetName val="表10.2.2-13 单位工程招标控制价费用表【A1楼】"/>
      <sheetName val="表10.2.2-16 分部分项工程清单与计价表【A1楼】"/>
      <sheetName val="表10.2.2-16 施工技术措施项目清单与计价表【A1楼】"/>
    </sheetNames>
    <sheetDataSet>
      <sheetData sheetId="0"/>
      <sheetData sheetId="1"/>
      <sheetData sheetId="2"/>
      <sheetData sheetId="3"/>
      <sheetData sheetId="4">
        <row r="14">
          <cell r="F14">
            <v>174.58</v>
          </cell>
        </row>
        <row r="15">
          <cell r="F15">
            <v>0.49</v>
          </cell>
        </row>
        <row r="16">
          <cell r="F16">
            <v>315.08</v>
          </cell>
        </row>
      </sheetData>
      <sheetData sheetId="5"/>
      <sheetData sheetId="6"/>
      <sheetData sheetId="7">
        <row r="8">
          <cell r="F8">
            <v>7.89</v>
          </cell>
        </row>
        <row r="9">
          <cell r="F9">
            <v>32.09</v>
          </cell>
        </row>
        <row r="10">
          <cell r="F10">
            <v>2.81</v>
          </cell>
        </row>
        <row r="11">
          <cell r="F11">
            <v>1548.84</v>
          </cell>
        </row>
        <row r="12">
          <cell r="F12">
            <v>209.76</v>
          </cell>
        </row>
        <row r="13">
          <cell r="F13">
            <v>307.77</v>
          </cell>
        </row>
        <row r="14">
          <cell r="F14">
            <v>9.42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view="pageBreakPreview" zoomScale="120" zoomScaleNormal="130" zoomScaleSheetLayoutView="120" workbookViewId="0">
      <selection activeCell="K5" sqref="K5"/>
    </sheetView>
  </sheetViews>
  <sheetFormatPr defaultColWidth="9" defaultRowHeight="12.75"/>
  <cols>
    <col min="1" max="4" width="4.125" style="1" customWidth="true"/>
    <col min="5" max="5" width="13.625" style="1" customWidth="true"/>
    <col min="6" max="6" width="16.15" style="1" customWidth="true"/>
    <col min="7" max="7" width="12.625" style="1" customWidth="true"/>
    <col min="8" max="8" width="14.525" style="1" customWidth="true"/>
    <col min="9" max="9" width="15.8833333333333" style="1" customWidth="true"/>
    <col min="10" max="16384" width="9" style="1"/>
  </cols>
  <sheetData>
    <row r="1" ht="18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true" spans="1:8">
      <c r="A2" s="25" t="s">
        <v>1</v>
      </c>
      <c r="B2" s="25"/>
      <c r="C2" s="25"/>
      <c r="D2" s="25"/>
      <c r="E2" s="25"/>
      <c r="F2" s="25"/>
      <c r="G2" s="25"/>
      <c r="H2" s="25"/>
    </row>
    <row r="3" ht="28" customHeight="true" spans="1:9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ht="20" customHeight="true" spans="1:9">
      <c r="A4" s="3" t="s">
        <v>3</v>
      </c>
      <c r="B4" s="3"/>
      <c r="C4" s="3"/>
      <c r="D4" s="3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ht="20" customHeight="true" spans="1:9">
      <c r="A5" s="3" t="s">
        <v>9</v>
      </c>
      <c r="B5" s="3"/>
      <c r="C5" s="3"/>
      <c r="D5" s="3"/>
      <c r="E5" s="3" t="s">
        <v>10</v>
      </c>
      <c r="F5" s="3" t="s">
        <v>11</v>
      </c>
      <c r="G5" s="3" t="s">
        <v>12</v>
      </c>
      <c r="H5" s="3" t="s">
        <v>13</v>
      </c>
      <c r="I5" s="34">
        <v>44713</v>
      </c>
    </row>
    <row r="6" ht="20" customHeight="true" spans="1:9">
      <c r="A6" s="3" t="s">
        <v>14</v>
      </c>
      <c r="B6" s="3"/>
      <c r="C6" s="3"/>
      <c r="D6" s="3"/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</row>
    <row r="7" ht="264" customHeight="true" spans="1:9">
      <c r="A7" s="4" t="s">
        <v>20</v>
      </c>
      <c r="B7" s="27" t="s">
        <v>21</v>
      </c>
      <c r="C7" s="28" t="s">
        <v>22</v>
      </c>
      <c r="D7" s="29"/>
      <c r="E7" s="29"/>
      <c r="F7" s="29"/>
      <c r="G7" s="29"/>
      <c r="H7" s="29"/>
      <c r="I7" s="35"/>
    </row>
    <row r="8" ht="241" customHeight="true" spans="1:9">
      <c r="A8" s="4"/>
      <c r="B8" s="30"/>
      <c r="C8" s="31"/>
      <c r="D8" s="32"/>
      <c r="E8" s="32"/>
      <c r="F8" s="32"/>
      <c r="G8" s="32"/>
      <c r="H8" s="32"/>
      <c r="I8" s="36"/>
    </row>
    <row r="9" ht="90" customHeight="true" spans="1:9">
      <c r="A9" s="4"/>
      <c r="B9" s="4" t="s">
        <v>23</v>
      </c>
      <c r="C9" s="33" t="s">
        <v>24</v>
      </c>
      <c r="D9" s="19"/>
      <c r="E9" s="19"/>
      <c r="F9" s="19"/>
      <c r="G9" s="19"/>
      <c r="H9" s="19"/>
      <c r="I9" s="19"/>
    </row>
  </sheetData>
  <mergeCells count="10">
    <mergeCell ref="A1:I1"/>
    <mergeCell ref="A2:H2"/>
    <mergeCell ref="A3:I3"/>
    <mergeCell ref="A4:D4"/>
    <mergeCell ref="A5:D5"/>
    <mergeCell ref="A6:D6"/>
    <mergeCell ref="C9:I9"/>
    <mergeCell ref="A7:A9"/>
    <mergeCell ref="B7:B8"/>
    <mergeCell ref="C7:I8"/>
  </mergeCells>
  <pageMargins left="0.432638888888889" right="0.511805555555556" top="0.472222222222222" bottom="0.314583333333333" header="0.3" footer="0.0784722222222222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view="pageBreakPreview" zoomScale="120" zoomScaleNormal="130" zoomScaleSheetLayoutView="120" topLeftCell="A13" workbookViewId="0">
      <selection activeCell="F4" sqref="F4"/>
    </sheetView>
  </sheetViews>
  <sheetFormatPr defaultColWidth="9" defaultRowHeight="12.75" outlineLevelCol="4"/>
  <cols>
    <col min="1" max="1" width="5.1" style="1" customWidth="true"/>
    <col min="2" max="2" width="10.625" style="1" customWidth="true"/>
    <col min="3" max="3" width="11.6666666666667" style="1" customWidth="true"/>
    <col min="4" max="4" width="14.9" style="1" customWidth="true"/>
    <col min="5" max="5" width="17.6083333333333" style="1" customWidth="true"/>
    <col min="6" max="16384" width="9" style="1"/>
  </cols>
  <sheetData>
    <row r="1" s="15" customFormat="true" ht="20" customHeight="true" spans="1:5">
      <c r="A1" s="16" t="s">
        <v>25</v>
      </c>
      <c r="B1" s="16"/>
      <c r="C1" s="16"/>
      <c r="D1" s="16"/>
      <c r="E1" s="16"/>
    </row>
    <row r="2" ht="22" customHeight="true" spans="1:5">
      <c r="A2" s="17" t="s">
        <v>26</v>
      </c>
      <c r="B2" s="17"/>
      <c r="C2" s="17" t="s">
        <v>27</v>
      </c>
      <c r="D2" s="17" t="s">
        <v>28</v>
      </c>
      <c r="E2" s="17" t="s">
        <v>29</v>
      </c>
    </row>
    <row r="3" ht="22" customHeight="true" spans="1:5">
      <c r="A3" s="3" t="s">
        <v>30</v>
      </c>
      <c r="B3" s="3"/>
      <c r="C3" s="5">
        <f>C4+C8</f>
        <v>79604579.300633</v>
      </c>
      <c r="D3" s="6">
        <f>C3/23692.88</f>
        <v>3359.85238183931</v>
      </c>
      <c r="E3" s="22">
        <f>C3/$C$3*100</f>
        <v>100</v>
      </c>
    </row>
    <row r="4" ht="22" customHeight="true" spans="1:5">
      <c r="A4" s="3" t="s">
        <v>21</v>
      </c>
      <c r="B4" s="3"/>
      <c r="C4" s="3">
        <v>63849083</v>
      </c>
      <c r="D4" s="6">
        <f t="shared" ref="D4:D14" si="0">C4/23692.88</f>
        <v>2694.86373121377</v>
      </c>
      <c r="E4" s="23">
        <f>C4/$C$3*100</f>
        <v>80.207801562356</v>
      </c>
    </row>
    <row r="5" ht="22" customHeight="true" spans="1:5">
      <c r="A5" s="3" t="s">
        <v>31</v>
      </c>
      <c r="B5" s="3" t="s">
        <v>32</v>
      </c>
      <c r="C5" s="5">
        <f>+C4-C6-C7</f>
        <v>26692333.13</v>
      </c>
      <c r="D5" s="6">
        <f t="shared" si="0"/>
        <v>1126.59723638494</v>
      </c>
      <c r="E5" s="23">
        <f>C5/$C$3*100</f>
        <v>33.5311528111898</v>
      </c>
    </row>
    <row r="6" ht="22" customHeight="true" spans="1:5">
      <c r="A6" s="3"/>
      <c r="B6" s="3" t="s">
        <v>33</v>
      </c>
      <c r="C6" s="5">
        <v>12710458.6</v>
      </c>
      <c r="D6" s="6">
        <f t="shared" si="0"/>
        <v>536.467436630751</v>
      </c>
      <c r="E6" s="23">
        <f>C6/$C$3*100</f>
        <v>15.9669942504161</v>
      </c>
    </row>
    <row r="7" ht="22" customHeight="true" spans="1:5">
      <c r="A7" s="3"/>
      <c r="B7" s="3" t="s">
        <v>34</v>
      </c>
      <c r="C7" s="5">
        <v>24446291.27</v>
      </c>
      <c r="D7" s="6">
        <f t="shared" si="0"/>
        <v>1031.79905819807</v>
      </c>
      <c r="E7" s="23">
        <f>C7/$C$3*100</f>
        <v>30.7096545007501</v>
      </c>
    </row>
    <row r="8" ht="22" customHeight="true" spans="1:5">
      <c r="A8" s="3" t="s">
        <v>23</v>
      </c>
      <c r="B8" s="3"/>
      <c r="C8" s="5">
        <f>C9+C10+C11+C12+C13+C14</f>
        <v>15755496.300633</v>
      </c>
      <c r="D8" s="6">
        <f t="shared" si="0"/>
        <v>664.988650625547</v>
      </c>
      <c r="E8" s="23">
        <f>C8/$C$3*100</f>
        <v>19.792198437644</v>
      </c>
    </row>
    <row r="9" ht="22" customHeight="true" spans="1:5">
      <c r="A9" s="3" t="s">
        <v>31</v>
      </c>
      <c r="B9" s="3" t="s">
        <v>35</v>
      </c>
      <c r="C9" s="5">
        <v>454408.26</v>
      </c>
      <c r="D9" s="6">
        <f t="shared" si="0"/>
        <v>19.1791061280857</v>
      </c>
      <c r="E9" s="23">
        <f>C9/$C$3*100</f>
        <v>0.57083180891377</v>
      </c>
    </row>
    <row r="10" ht="22" customHeight="true" spans="1:5">
      <c r="A10" s="3"/>
      <c r="B10" s="3" t="s">
        <v>36</v>
      </c>
      <c r="C10" s="5">
        <v>5056651.77</v>
      </c>
      <c r="D10" s="6">
        <f t="shared" si="0"/>
        <v>213.424951715452</v>
      </c>
      <c r="E10" s="23">
        <f>C10/$C$3*100</f>
        <v>6.35221216470871</v>
      </c>
    </row>
    <row r="11" ht="22" customHeight="true" spans="1:5">
      <c r="A11" s="3"/>
      <c r="B11" s="3" t="s">
        <v>37</v>
      </c>
      <c r="C11" s="5">
        <v>3985263.16</v>
      </c>
      <c r="D11" s="6">
        <f t="shared" si="0"/>
        <v>168.205096214559</v>
      </c>
      <c r="E11" s="23">
        <f>C11/$C$3*100</f>
        <v>5.00632400172525</v>
      </c>
    </row>
    <row r="12" ht="22" customHeight="true" spans="1:5">
      <c r="A12" s="3"/>
      <c r="B12" s="3" t="s">
        <v>38</v>
      </c>
      <c r="C12" s="5">
        <v>4476975.48</v>
      </c>
      <c r="D12" s="6">
        <f t="shared" si="0"/>
        <v>188.958686322642</v>
      </c>
      <c r="E12" s="23">
        <f>C12/$C$3*100</f>
        <v>5.62401751172172</v>
      </c>
    </row>
    <row r="13" ht="22" customHeight="true" spans="1:5">
      <c r="A13" s="3"/>
      <c r="B13" s="3" t="s">
        <v>39</v>
      </c>
      <c r="C13" s="5">
        <f>1174710*0.4039</f>
        <v>474465.369</v>
      </c>
      <c r="D13" s="6">
        <f t="shared" si="0"/>
        <v>20.0256519680174</v>
      </c>
      <c r="E13" s="23">
        <f>C13/$C$3*100</f>
        <v>0.596027732535517</v>
      </c>
    </row>
    <row r="14" ht="22" customHeight="true" spans="1:5">
      <c r="A14" s="3"/>
      <c r="B14" s="3" t="s">
        <v>40</v>
      </c>
      <c r="C14" s="5">
        <f>3237762.47*0.4039</f>
        <v>1307732.261633</v>
      </c>
      <c r="D14" s="6">
        <f t="shared" si="0"/>
        <v>55.1951582767903</v>
      </c>
      <c r="E14" s="23">
        <f>C14/$C$3*100</f>
        <v>1.64278521803909</v>
      </c>
    </row>
    <row r="15" ht="36" customHeight="true" spans="1:5">
      <c r="A15" s="18" t="s">
        <v>41</v>
      </c>
      <c r="B15" s="18"/>
      <c r="C15" s="18"/>
      <c r="D15" s="18"/>
      <c r="E15" s="18"/>
    </row>
    <row r="16" ht="20" customHeight="true" spans="1:5">
      <c r="A16" s="16" t="s">
        <v>42</v>
      </c>
      <c r="B16" s="16"/>
      <c r="C16" s="16"/>
      <c r="D16" s="16"/>
      <c r="E16" s="16"/>
    </row>
    <row r="17" ht="22" customHeight="true" spans="1:5">
      <c r="A17" s="17" t="s">
        <v>26</v>
      </c>
      <c r="B17" s="17"/>
      <c r="C17" s="17" t="s">
        <v>43</v>
      </c>
      <c r="D17" s="17" t="s">
        <v>44</v>
      </c>
      <c r="E17" s="17" t="s">
        <v>45</v>
      </c>
    </row>
    <row r="18" ht="22" customHeight="true" spans="1:5">
      <c r="A18" s="19" t="s">
        <v>46</v>
      </c>
      <c r="B18" s="19"/>
      <c r="C18" s="3"/>
      <c r="D18" s="3"/>
      <c r="E18" s="3"/>
    </row>
    <row r="19" ht="22" customHeight="true" spans="1:5">
      <c r="A19" s="3" t="s">
        <v>47</v>
      </c>
      <c r="B19" s="3" t="s">
        <v>32</v>
      </c>
      <c r="C19" s="3" t="s">
        <v>48</v>
      </c>
      <c r="D19" s="5">
        <f>531.41+37964.81+30243.26</f>
        <v>68739.48</v>
      </c>
      <c r="E19" s="6">
        <f>+D19/23692.88</f>
        <v>2.90127160564693</v>
      </c>
    </row>
    <row r="20" ht="22" customHeight="true" spans="1:5">
      <c r="A20" s="3" t="s">
        <v>49</v>
      </c>
      <c r="B20" s="3" t="s">
        <v>34</v>
      </c>
      <c r="C20" s="3" t="s">
        <v>50</v>
      </c>
      <c r="D20" s="5">
        <f>+(329.2464+233.8312+1.0733+4.4704+97.4847+450.1042+136.3262+26.2205+11.0679+138.2684+0.1071+17.6574+14.8155+5.581+0.587+52.977+607.435-121.43-21.4863)*1000</f>
        <v>1984336.9</v>
      </c>
      <c r="E20" s="6">
        <f t="shared" ref="E20:E29" si="1">+D20/23692.88</f>
        <v>83.7524564341692</v>
      </c>
    </row>
    <row r="21" ht="22" customHeight="true" spans="1:5">
      <c r="A21" s="3" t="s">
        <v>51</v>
      </c>
      <c r="B21" s="3"/>
      <c r="C21" s="3" t="s">
        <v>50</v>
      </c>
      <c r="D21" s="5">
        <f>163.847+12691.36+422.298+8090.112+3980.89+720.289+6.646+0.032+1.448+0.785+91.768+7.955</f>
        <v>26177.43</v>
      </c>
      <c r="E21" s="6">
        <f t="shared" si="1"/>
        <v>1.10486483703121</v>
      </c>
    </row>
    <row r="22" ht="22" customHeight="true" spans="1:5">
      <c r="A22" s="3" t="s">
        <v>52</v>
      </c>
      <c r="B22" s="3" t="s">
        <v>35</v>
      </c>
      <c r="C22" s="3" t="s">
        <v>50</v>
      </c>
      <c r="D22" s="5">
        <f>103928.58+75248.93+3850.31+356998.79+1159.88+349164.39+374771.44+86145.84</f>
        <v>1351268.16</v>
      </c>
      <c r="E22" s="6">
        <f t="shared" si="1"/>
        <v>57.0326680420447</v>
      </c>
    </row>
    <row r="23" ht="22" customHeight="true" spans="1:5">
      <c r="A23" s="20" t="s">
        <v>53</v>
      </c>
      <c r="B23" s="21"/>
      <c r="C23" s="3" t="s">
        <v>50</v>
      </c>
      <c r="D23" s="5">
        <f>9.5837+76630.357835</f>
        <v>76639.941535</v>
      </c>
      <c r="E23" s="6">
        <f t="shared" si="1"/>
        <v>3.23472458962355</v>
      </c>
    </row>
    <row r="24" ht="22" customHeight="true" spans="1:5">
      <c r="A24" s="3" t="s">
        <v>54</v>
      </c>
      <c r="B24" s="3" t="s">
        <v>36</v>
      </c>
      <c r="C24" s="3" t="s">
        <v>55</v>
      </c>
      <c r="D24" s="5">
        <f>845.57+101.85+9.21+562.49+112.42+203.12+12.3+57.98+3101.796+3640.7+460.27+998.13+3442.4+243.49+78.53+142.66+341.22+258.39+1.29+127.098+137.764+150.22+2.17</f>
        <v>15031.068</v>
      </c>
      <c r="E24" s="6">
        <f t="shared" si="1"/>
        <v>0.634412870026776</v>
      </c>
    </row>
    <row r="25" ht="22" customHeight="true" spans="1:5">
      <c r="A25" s="20" t="s">
        <v>56</v>
      </c>
      <c r="B25" s="21"/>
      <c r="C25" s="3" t="s">
        <v>55</v>
      </c>
      <c r="D25" s="5">
        <f>97.71+819.22</f>
        <v>916.93</v>
      </c>
      <c r="E25" s="6">
        <f t="shared" si="1"/>
        <v>0.0387006560620743</v>
      </c>
    </row>
    <row r="26" ht="22" customHeight="true" spans="1:5">
      <c r="A26" s="3" t="s">
        <v>57</v>
      </c>
      <c r="B26" s="3" t="s">
        <v>37</v>
      </c>
      <c r="C26" s="3" t="s">
        <v>55</v>
      </c>
      <c r="D26" s="5">
        <f>+(173.91+13.95)*1000*0.24*0.115*0.09</f>
        <v>466.64424</v>
      </c>
      <c r="E26" s="6">
        <f t="shared" si="1"/>
        <v>0.0196955473543107</v>
      </c>
    </row>
    <row r="27" ht="22" customHeight="true" spans="1:5">
      <c r="A27" s="20" t="s">
        <v>58</v>
      </c>
      <c r="B27" s="21"/>
      <c r="C27" s="3" t="s">
        <v>55</v>
      </c>
      <c r="D27" s="3">
        <v>320.36</v>
      </c>
      <c r="E27" s="6">
        <f t="shared" si="1"/>
        <v>0.0135213616917825</v>
      </c>
    </row>
    <row r="28" ht="22" customHeight="true" spans="1:5">
      <c r="A28" s="20" t="s">
        <v>59</v>
      </c>
      <c r="B28" s="21"/>
      <c r="C28" s="3" t="s">
        <v>55</v>
      </c>
      <c r="D28" s="5">
        <v>1761.41</v>
      </c>
      <c r="E28" s="6">
        <f t="shared" si="1"/>
        <v>0.0743434314443833</v>
      </c>
    </row>
    <row r="29" ht="22" customHeight="true" spans="1:5">
      <c r="A29" s="3" t="s">
        <v>60</v>
      </c>
      <c r="B29" s="3" t="s">
        <v>40</v>
      </c>
      <c r="C29" s="3" t="s">
        <v>50</v>
      </c>
      <c r="D29" s="3">
        <f>+(318.35+8.64+23.47)*1000</f>
        <v>350460</v>
      </c>
      <c r="E29" s="6">
        <f t="shared" si="1"/>
        <v>14.7917855490763</v>
      </c>
    </row>
    <row r="30" ht="22" customHeight="true" spans="1:5">
      <c r="A30" s="19" t="s">
        <v>61</v>
      </c>
      <c r="B30" s="19" t="s">
        <v>62</v>
      </c>
      <c r="C30" s="3"/>
      <c r="D30" s="3"/>
      <c r="E30" s="3"/>
    </row>
    <row r="31" ht="22" customHeight="true" spans="1:5">
      <c r="A31" s="3" t="s">
        <v>47</v>
      </c>
      <c r="B31" s="3"/>
      <c r="C31" s="3" t="s">
        <v>48</v>
      </c>
      <c r="D31" s="5">
        <f>1.248+8671.79+4631.49+1547.3</f>
        <v>14851.828</v>
      </c>
      <c r="E31" s="6">
        <f>+D31/23692.88</f>
        <v>0.626847728093841</v>
      </c>
    </row>
    <row r="32" ht="20" customHeight="true" spans="1:5">
      <c r="A32" s="18" t="s">
        <v>63</v>
      </c>
      <c r="B32" s="18"/>
      <c r="C32" s="18"/>
      <c r="D32" s="18"/>
      <c r="E32" s="18"/>
    </row>
  </sheetData>
  <mergeCells count="25">
    <mergeCell ref="A1:E1"/>
    <mergeCell ref="A2:B2"/>
    <mergeCell ref="A3:B3"/>
    <mergeCell ref="A4:B4"/>
    <mergeCell ref="A8:B8"/>
    <mergeCell ref="A15:E15"/>
    <mergeCell ref="A16:E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E32"/>
    <mergeCell ref="A5:A7"/>
    <mergeCell ref="A9:A14"/>
  </mergeCells>
  <printOptions horizontalCentered="true"/>
  <pageMargins left="0.511805555555556" right="0.700694444444445" top="0.590277777777778" bottom="0.275" header="0.298611111111111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20" zoomScaleNormal="120" workbookViewId="0">
      <selection activeCell="J9" sqref="J9"/>
    </sheetView>
  </sheetViews>
  <sheetFormatPr defaultColWidth="9" defaultRowHeight="12.75"/>
  <cols>
    <col min="1" max="1" width="5.625" style="1" customWidth="true"/>
    <col min="2" max="2" width="9.25" style="1" customWidth="true"/>
    <col min="3" max="4" width="12.625" style="1" customWidth="true"/>
    <col min="5" max="5" width="17.375" style="1" customWidth="true"/>
    <col min="6" max="6" width="5.125" style="1" customWidth="true"/>
    <col min="7" max="7" width="9.375" style="1" customWidth="true"/>
    <col min="8" max="9" width="13.125" style="1" customWidth="true"/>
    <col min="10" max="16384" width="9" style="1"/>
  </cols>
  <sheetData>
    <row r="1" ht="22" customHeight="true" spans="1:9">
      <c r="A1" s="2" t="s">
        <v>64</v>
      </c>
      <c r="B1" s="2"/>
      <c r="C1" s="2"/>
      <c r="D1" s="2"/>
      <c r="E1" s="2"/>
      <c r="F1" s="2"/>
      <c r="G1" s="2"/>
      <c r="H1" s="2"/>
      <c r="I1" s="2"/>
    </row>
    <row r="2" ht="20" customHeight="true" spans="1:9">
      <c r="A2" s="3" t="s">
        <v>65</v>
      </c>
      <c r="B2" s="3"/>
      <c r="C2" s="3"/>
      <c r="D2" s="3"/>
      <c r="E2" s="3" t="s">
        <v>66</v>
      </c>
      <c r="F2" s="3"/>
      <c r="G2" s="3"/>
      <c r="H2" s="3"/>
      <c r="I2" s="13"/>
    </row>
    <row r="3" ht="36" customHeight="true" spans="1:9">
      <c r="A3" s="4" t="s">
        <v>67</v>
      </c>
      <c r="B3" s="4"/>
      <c r="C3" s="4" t="s">
        <v>68</v>
      </c>
      <c r="D3" s="4" t="s">
        <v>69</v>
      </c>
      <c r="E3" s="3" t="s">
        <v>26</v>
      </c>
      <c r="F3" s="3" t="s">
        <v>43</v>
      </c>
      <c r="G3" s="3" t="s">
        <v>70</v>
      </c>
      <c r="H3" s="3" t="s">
        <v>71</v>
      </c>
      <c r="I3" s="13"/>
    </row>
    <row r="4" ht="20" customHeight="true" spans="1:9">
      <c r="A4" s="4" t="s">
        <v>72</v>
      </c>
      <c r="B4" s="4"/>
      <c r="C4" s="5">
        <v>4457329.96</v>
      </c>
      <c r="D4" s="6">
        <f t="shared" ref="D4:D12" si="0">C4/$C$20*100</f>
        <v>6.98103994581178</v>
      </c>
      <c r="E4" s="3" t="s">
        <v>73</v>
      </c>
      <c r="F4" s="3" t="s">
        <v>55</v>
      </c>
      <c r="G4" s="5">
        <v>2934.59</v>
      </c>
      <c r="H4" s="6">
        <f>G4/23692.88</f>
        <v>0.123859573002522</v>
      </c>
      <c r="I4" s="14"/>
    </row>
    <row r="5" ht="20" customHeight="true" spans="1:9">
      <c r="A5" s="4" t="s">
        <v>74</v>
      </c>
      <c r="B5" s="4"/>
      <c r="C5" s="5">
        <v>1875150.2672</v>
      </c>
      <c r="D5" s="6">
        <f t="shared" si="0"/>
        <v>2.93684762788412</v>
      </c>
      <c r="E5" s="3" t="s">
        <v>75</v>
      </c>
      <c r="F5" s="3" t="s">
        <v>55</v>
      </c>
      <c r="G5" s="5">
        <v>26992.58</v>
      </c>
      <c r="H5" s="6">
        <f t="shared" ref="H5:H16" si="1">G5/23692.88</f>
        <v>1.13926968777118</v>
      </c>
      <c r="I5" s="14"/>
    </row>
    <row r="6" ht="20" customHeight="true" spans="1:9">
      <c r="A6" s="4" t="s">
        <v>76</v>
      </c>
      <c r="B6" s="4"/>
      <c r="C6" s="5">
        <v>3097426.3152</v>
      </c>
      <c r="D6" s="6">
        <f t="shared" si="0"/>
        <v>4.85116808261146</v>
      </c>
      <c r="E6" s="3" t="s">
        <v>77</v>
      </c>
      <c r="F6" s="3" t="s">
        <v>55</v>
      </c>
      <c r="G6" s="5">
        <f>+'[1]表10.2.2-16 分部分项工程清单与计价表【地下室】'!$F$14+'[1]表10.2.2-16 分部分项工程清单与计价表【地下室】'!$F$15+'[1]表10.2.2-16 分部分项工程清单与计价表【地下室】'!$F$16+'[1]表10.2.2-16 分部分项工程清单与计价表【A1楼】'!$F$8+'[1]表10.2.2-16 分部分项工程清单与计价表【A1楼】'!$F$9+'[1]表10.2.2-16 分部分项工程清单与计价表【A1楼】'!$F$10+'[1]表10.2.2-16 分部分项工程清单与计价表【A1楼】'!$F$11+'[1]表10.2.2-16 分部分项工程清单与计价表【A1楼】'!$F$12+'[1]表10.2.2-16 分部分项工程清单与计价表【A1楼】'!$F$13+'[1]表10.2.2-16 分部分项工程清单与计价表【A1楼】'!$F$14</f>
        <v>2608.73</v>
      </c>
      <c r="H6" s="6">
        <f t="shared" si="1"/>
        <v>0.110106074061068</v>
      </c>
      <c r="I6" s="14"/>
    </row>
    <row r="7" ht="20" customHeight="true" spans="1:9">
      <c r="A7" s="4" t="s">
        <v>78</v>
      </c>
      <c r="B7" s="4"/>
      <c r="C7" s="5">
        <v>24368464.4784</v>
      </c>
      <c r="D7" s="6">
        <f t="shared" si="0"/>
        <v>38.1657237557988</v>
      </c>
      <c r="E7" s="3" t="s">
        <v>79</v>
      </c>
      <c r="F7" s="3" t="s">
        <v>55</v>
      </c>
      <c r="G7" s="5">
        <f>6015.26+4896.8</f>
        <v>10912.06</v>
      </c>
      <c r="H7" s="6">
        <f t="shared" si="1"/>
        <v>0.460562835754877</v>
      </c>
      <c r="I7" s="14"/>
    </row>
    <row r="8" ht="20" customHeight="true" spans="1:9">
      <c r="A8" s="7" t="s">
        <v>80</v>
      </c>
      <c r="B8" s="8"/>
      <c r="C8" s="5">
        <v>2459401.28</v>
      </c>
      <c r="D8" s="6">
        <f t="shared" si="0"/>
        <v>3.85189760070188</v>
      </c>
      <c r="E8" s="3" t="s">
        <v>81</v>
      </c>
      <c r="F8" s="3" t="s">
        <v>82</v>
      </c>
      <c r="G8" s="5">
        <f>9601.01+19324.66</f>
        <v>28925.67</v>
      </c>
      <c r="H8" s="6">
        <f t="shared" si="1"/>
        <v>1.22085917794713</v>
      </c>
      <c r="I8" s="14"/>
    </row>
    <row r="9" ht="20" customHeight="true" spans="1:9">
      <c r="A9" s="4" t="s">
        <v>83</v>
      </c>
      <c r="B9" s="4"/>
      <c r="C9" s="5">
        <v>1940685.6448</v>
      </c>
      <c r="D9" s="6">
        <f t="shared" si="0"/>
        <v>3.03948869170374</v>
      </c>
      <c r="E9" s="3" t="s">
        <v>84</v>
      </c>
      <c r="F9" s="3" t="s">
        <v>82</v>
      </c>
      <c r="G9" s="3">
        <f>2502.06+1956.76</f>
        <v>4458.82</v>
      </c>
      <c r="H9" s="6">
        <f t="shared" si="1"/>
        <v>0.188192402105611</v>
      </c>
      <c r="I9" s="14"/>
    </row>
    <row r="10" ht="20" customHeight="true" spans="1:9">
      <c r="A10" s="4" t="s">
        <v>85</v>
      </c>
      <c r="B10" s="4"/>
      <c r="C10" s="5">
        <v>1993239.36</v>
      </c>
      <c r="D10" s="6">
        <f t="shared" si="0"/>
        <v>3.12179796393721</v>
      </c>
      <c r="E10" s="3" t="s">
        <v>86</v>
      </c>
      <c r="F10" s="3" t="s">
        <v>82</v>
      </c>
      <c r="G10" s="3">
        <f>17357.89+3297.49</f>
        <v>20655.38</v>
      </c>
      <c r="H10" s="6">
        <f t="shared" si="1"/>
        <v>0.871796928022258</v>
      </c>
      <c r="I10" s="14"/>
    </row>
    <row r="11" ht="20" customHeight="true" spans="1:9">
      <c r="A11" s="4" t="s">
        <v>87</v>
      </c>
      <c r="B11" s="3" t="s">
        <v>88</v>
      </c>
      <c r="C11" s="5">
        <v>171204.32</v>
      </c>
      <c r="D11" s="6">
        <f t="shared" si="0"/>
        <v>0.268139044571774</v>
      </c>
      <c r="E11" s="3" t="s">
        <v>88</v>
      </c>
      <c r="F11" s="3" t="s">
        <v>82</v>
      </c>
      <c r="G11" s="5">
        <f>625.85+2337.34</f>
        <v>2963.19</v>
      </c>
      <c r="H11" s="6">
        <f t="shared" si="1"/>
        <v>0.125066686700815</v>
      </c>
      <c r="I11" s="14"/>
    </row>
    <row r="12" ht="20" customHeight="true" spans="1:9">
      <c r="A12" s="4"/>
      <c r="B12" s="3" t="s">
        <v>89</v>
      </c>
      <c r="C12" s="5">
        <v>3285242.912</v>
      </c>
      <c r="D12" s="6">
        <f t="shared" si="0"/>
        <v>5.14532516241338</v>
      </c>
      <c r="E12" s="3" t="s">
        <v>89</v>
      </c>
      <c r="F12" s="3" t="s">
        <v>82</v>
      </c>
      <c r="G12" s="3">
        <f>23890+5026.11</f>
        <v>28916.11</v>
      </c>
      <c r="H12" s="6">
        <f t="shared" si="1"/>
        <v>1.22045568120043</v>
      </c>
      <c r="I12" s="14"/>
    </row>
    <row r="13" ht="20" customHeight="true" spans="1:9">
      <c r="A13" s="4" t="s">
        <v>90</v>
      </c>
      <c r="B13" s="4"/>
      <c r="C13" s="5">
        <v>242449.76</v>
      </c>
      <c r="D13" s="6">
        <f t="shared" ref="D13:D20" si="2">C13/$C$20*100</f>
        <v>0.379723169386473</v>
      </c>
      <c r="E13" s="3" t="s">
        <v>91</v>
      </c>
      <c r="F13" s="3" t="s">
        <v>82</v>
      </c>
      <c r="G13" s="3">
        <v>7208.38</v>
      </c>
      <c r="H13" s="6">
        <f t="shared" si="1"/>
        <v>0.304242455961453</v>
      </c>
      <c r="I13" s="14"/>
    </row>
    <row r="14" ht="20" customHeight="true" spans="1:9">
      <c r="A14" s="4" t="s">
        <v>92</v>
      </c>
      <c r="B14" s="4"/>
      <c r="C14" s="5">
        <v>1366410.2032</v>
      </c>
      <c r="D14" s="6">
        <f t="shared" si="2"/>
        <v>2.14006239082735</v>
      </c>
      <c r="E14" s="3" t="s">
        <v>93</v>
      </c>
      <c r="F14" s="3" t="s">
        <v>82</v>
      </c>
      <c r="G14" s="3">
        <f>1816.72+131.55</f>
        <v>1948.27</v>
      </c>
      <c r="H14" s="6">
        <f t="shared" si="1"/>
        <v>0.0822301889850453</v>
      </c>
      <c r="I14" s="13"/>
    </row>
    <row r="15" ht="20" customHeight="true" spans="1:9">
      <c r="A15" s="4" t="s">
        <v>94</v>
      </c>
      <c r="B15" s="4"/>
      <c r="C15" s="9">
        <v>1273198</v>
      </c>
      <c r="D15" s="10">
        <f t="shared" si="2"/>
        <v>1.99407407050648</v>
      </c>
      <c r="E15" s="3" t="s">
        <v>95</v>
      </c>
      <c r="F15" s="3" t="s">
        <v>82</v>
      </c>
      <c r="G15" s="3">
        <v>2337.34</v>
      </c>
      <c r="H15" s="6">
        <f t="shared" si="1"/>
        <v>0.0986515780268165</v>
      </c>
      <c r="I15" s="13"/>
    </row>
    <row r="16" ht="20" customHeight="true" spans="1:9">
      <c r="A16" s="4"/>
      <c r="B16" s="4"/>
      <c r="C16" s="11"/>
      <c r="D16" s="12"/>
      <c r="E16" s="3" t="s">
        <v>96</v>
      </c>
      <c r="F16" s="3" t="s">
        <v>82</v>
      </c>
      <c r="G16" s="3">
        <f>2163.34+4417.16</f>
        <v>6580.5</v>
      </c>
      <c r="H16" s="6">
        <f t="shared" si="1"/>
        <v>0.27774166753894</v>
      </c>
      <c r="I16" s="13"/>
    </row>
    <row r="17" ht="20" customHeight="true" spans="1:9">
      <c r="A17" s="4" t="s">
        <v>97</v>
      </c>
      <c r="B17" s="4"/>
      <c r="C17" s="5">
        <v>3861456.48</v>
      </c>
      <c r="D17" s="6">
        <f t="shared" si="2"/>
        <v>6.04778694370963</v>
      </c>
      <c r="E17" s="3"/>
      <c r="F17" s="3"/>
      <c r="G17" s="3"/>
      <c r="H17" s="3"/>
      <c r="I17" s="13"/>
    </row>
    <row r="18" ht="20" customHeight="true" spans="1:9">
      <c r="A18" s="7" t="s">
        <v>98</v>
      </c>
      <c r="B18" s="8"/>
      <c r="C18" s="5">
        <v>12710458.6</v>
      </c>
      <c r="D18" s="6">
        <f t="shared" si="2"/>
        <v>19.9070340343812</v>
      </c>
      <c r="E18" s="3"/>
      <c r="F18" s="3"/>
      <c r="G18" s="3"/>
      <c r="H18" s="3"/>
      <c r="I18" s="13"/>
    </row>
    <row r="19" ht="20" customHeight="true" spans="1:9">
      <c r="A19" s="4" t="s">
        <v>99</v>
      </c>
      <c r="B19" s="4"/>
      <c r="C19" s="5">
        <v>746965</v>
      </c>
      <c r="D19" s="6">
        <f t="shared" si="2"/>
        <v>1.16989151575471</v>
      </c>
      <c r="E19" s="3"/>
      <c r="F19" s="3"/>
      <c r="G19" s="3"/>
      <c r="H19" s="3"/>
      <c r="I19" s="13"/>
    </row>
    <row r="20" ht="20" customHeight="true" spans="1:9">
      <c r="A20" s="4" t="s">
        <v>100</v>
      </c>
      <c r="B20" s="4"/>
      <c r="C20" s="5">
        <f>SUM(C4:C19)</f>
        <v>63849082.5808</v>
      </c>
      <c r="D20" s="5">
        <f>SUM(D4:D19)</f>
        <v>100</v>
      </c>
      <c r="E20" s="3"/>
      <c r="F20" s="3"/>
      <c r="G20" s="3"/>
      <c r="H20" s="3"/>
      <c r="I20" s="13"/>
    </row>
    <row r="21" ht="16" customHeight="true" spans="1:1">
      <c r="A21" s="1" t="s">
        <v>101</v>
      </c>
    </row>
  </sheetData>
  <mergeCells count="21">
    <mergeCell ref="A1:H1"/>
    <mergeCell ref="A2:D2"/>
    <mergeCell ref="E2:H2"/>
    <mergeCell ref="A3:B3"/>
    <mergeCell ref="A4:B4"/>
    <mergeCell ref="A5:B5"/>
    <mergeCell ref="A6:B6"/>
    <mergeCell ref="A7:B7"/>
    <mergeCell ref="A8:B8"/>
    <mergeCell ref="A9:B9"/>
    <mergeCell ref="A10:B10"/>
    <mergeCell ref="A13:B13"/>
    <mergeCell ref="A14:B14"/>
    <mergeCell ref="A17:B17"/>
    <mergeCell ref="A18:B18"/>
    <mergeCell ref="A19:B19"/>
    <mergeCell ref="A20:B20"/>
    <mergeCell ref="A11:A12"/>
    <mergeCell ref="C15:C16"/>
    <mergeCell ref="D15:D16"/>
    <mergeCell ref="A15:B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表二、表三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nbzjj</cp:lastModifiedBy>
  <dcterms:created xsi:type="dcterms:W3CDTF">2023-02-10T18:42:00Z</dcterms:created>
  <dcterms:modified xsi:type="dcterms:W3CDTF">2023-06-13T13:35:14Z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3BF3BB2E02714F01AB8C052FAE526CDB</vt:lpwstr>
  </property>
</Properties>
</file>